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externalReferences>
    <externalReference r:id="rId7"/>
  </externalReference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<sst xmlns="http://schemas.openxmlformats.org/spreadsheetml/2006/main" count="502" uniqueCount="149">
  <si>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</si>
  <si>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</si>
  <si>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</si>
  <si>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</si>
  <si>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</si>
  <si>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</si>
  <si>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</si>
  <si>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</si>
  <si>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</si>
  <si>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</si>
  <si>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</si>
  <si>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</si>
  <si>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</si>
  <si>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</si>
  <si>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</si>
  <si>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</si>
  <si>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</si>
  <si>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</si>
  <si>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</si>
  <si>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</si>
  <si>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</si>
  <si>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</si>
  <si>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</si>
  <si>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</si>
  <si>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</si>
  <si>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</si>
  <si>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</si>
  <si>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</si>
  <si>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</si>
  <si>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</si>
  <si>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</si>
  <si>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</si>
  <si>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</si>
  <si>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</si>
  <si>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</si>
  <si>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</si>
  <si>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</si>
  <si>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</si>
  <si>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</si>
  <si>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</si>
  <si>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</si>
  <si>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</si>
  <si>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</si>
  <si>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</si>
  <si>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</si>
  <si>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</si>
  <si>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</si>
  <si>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</si>
  <si>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</si>
  <si>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</si>
  <si>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</si>
  <si>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</si>
  <si>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</si>
  <si>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</si>
  <si>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</si>
  <si>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</si>
  <si>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</si>
  <si>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</si>
  <si>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</si>
  <si>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</si>
  <si>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</si>
  <si>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</si>
  <si>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</si>
  <si>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</si>
  <si>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</si>
  <si>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</si>
  <si>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</si>
  <si>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</si>
  <si>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</si>
  <si>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</si>
  <si>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</si>
  <si>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</si>
  <si>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</si>
  <si>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</si>
  <si>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</si>
  <si>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</si>
  <si>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</si>
  <si>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</si>
  <si>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</si>
  <si>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</si>
  <si>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</si>
  <si>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</si>
  <si>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</si>
  <si>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</si>
  <si>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</si>
  <si>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</si>
  <si>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</si>
  <si>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</si>
  <si>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</si>
  <si>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</si>
  <si>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</si>
  <si>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</si>
  <si>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</si>
  <si>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</si>
  <si>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</si>
  <si>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</si>
  <si>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</si>
  <si>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</si>
  <si>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</si>
  <si>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</si>
  <si>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</si>
  <si>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</si>
  <si>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</si>
  <si>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</si>
  <si>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</si>
  <si>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</si>
  <si>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</si>
  <si>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</si>
  <si>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</si>
  <si>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</si>
  <si>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</si>
  <si>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</si>
  <si>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</si>
  <si>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</si>
  <si>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</si>
  <si>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</si>
  <si>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</si>
  <si>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</si>
  <si>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</si>
  <si>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</si>
  <si>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</si>
  <si>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</si>
  <si>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</si>
  <si>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</si>
  <si>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</si>
  <si>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</si>
  <si>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</si>
  <si>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</si>
  <si>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</si>
  <si>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</si>
  <si>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</si>
  <si>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</si>
  <si>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</si>
  <si>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</si>
  <si>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</si>
  <si>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</si>
  <si>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</si>
  <si>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</si>
  <si>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</si>
  <si>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</si>
  <si>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</si>
  <si>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</si>
  <si>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</si>
  <si>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</si>
  <si>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</si>
  <si>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</si>
  <si>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</si>
  <si>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15.03.2016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</si>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</sst>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G6">
            <v>24.98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5" sqref="D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144</v>
      </c>
      <c r="N3" s="200" t="s">
        <v>145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141</v>
      </c>
      <c r="F4" s="203" t="s">
        <v>34</v>
      </c>
      <c r="G4" s="205" t="s">
        <v>142</v>
      </c>
      <c r="H4" s="198" t="s">
        <v>143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148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146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F9+F15+F18+F19+F20+F32+F17-0.01</f>
        <v>162658.75</v>
      </c>
      <c r="G8" s="15">
        <f aca="true" t="shared" si="0" ref="G8:G21">F8-E8</f>
        <v>-19155.430000000022</v>
      </c>
      <c r="H8" s="38">
        <f>F8/E8*100</f>
        <v>89.4642816088382</v>
      </c>
      <c r="I8" s="28">
        <f>F8-D8</f>
        <v>-678391.25</v>
      </c>
      <c r="J8" s="28">
        <f>F8/D8*100</f>
        <v>19.339961952321502</v>
      </c>
      <c r="K8" s="15">
        <f>F8-139482.78</f>
        <v>23175.97</v>
      </c>
      <c r="L8" s="15">
        <f>F8/139482.78*100</f>
        <v>116.61564961638993</v>
      </c>
      <c r="M8" s="15">
        <f>M9+M15+M18+M19+M20+M32+M17</f>
        <v>59101.41</v>
      </c>
      <c r="N8" s="15">
        <f>N9+N15+N18+N19+N20+N32+N17</f>
        <v>22235.735000000004</v>
      </c>
      <c r="O8" s="15">
        <f>N8-M8</f>
        <v>-36865.675</v>
      </c>
      <c r="P8" s="15">
        <f>N8/M8*100</f>
        <v>37.62301948464513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86891.8</v>
      </c>
      <c r="G9" s="36">
        <f t="shared" si="0"/>
        <v>-9091.470000000001</v>
      </c>
      <c r="H9" s="32">
        <f>F9/E9*100</f>
        <v>90.52806806852902</v>
      </c>
      <c r="I9" s="42">
        <f>F9-D9</f>
        <v>-372808.2</v>
      </c>
      <c r="J9" s="42">
        <f>F9/D9*100</f>
        <v>18.901849031977378</v>
      </c>
      <c r="K9" s="106">
        <f>F9-78437.5</f>
        <v>8454.300000000003</v>
      </c>
      <c r="L9" s="106">
        <f>F9/78437.5*100</f>
        <v>110.77839043824702</v>
      </c>
      <c r="M9" s="32">
        <f>E9-лютий!E9</f>
        <v>35393.005000000005</v>
      </c>
      <c r="N9" s="178">
        <f>F9-лютий!F9</f>
        <v>16567.199999999997</v>
      </c>
      <c r="O9" s="40">
        <f>N9-M9</f>
        <v>-18825.805000000008</v>
      </c>
      <c r="P9" s="42">
        <f>N9/M9*100</f>
        <v>46.809249454800444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F10-69239.48</f>
        <v>-5243.489999999998</v>
      </c>
      <c r="L10" s="112">
        <f>F10/69239.48*100</f>
        <v>92.427022848814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F11-4902.53</f>
        <v>453.1800000000003</v>
      </c>
      <c r="L11" s="112">
        <f>F11/4902.53*100</f>
        <v>109.2437986101054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F12-1215.38</f>
        <v>-370.06000000000006</v>
      </c>
      <c r="L12" s="112">
        <f>F12/1215.38*100</f>
        <v>69.5519096907963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F13-1220.33</f>
        <v>327.3100000000002</v>
      </c>
      <c r="L13" s="112">
        <f>F13/1220.33*100</f>
        <v>126.82143354666363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F14-1859.78</f>
        <v>-1404.81</v>
      </c>
      <c r="L14" s="112">
        <f>F14/1859.78*100</f>
        <v>24.463646237727044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184.3</v>
      </c>
      <c r="G15" s="36">
        <f t="shared" si="0"/>
        <v>74.30000000000001</v>
      </c>
      <c r="H15" s="32"/>
      <c r="I15" s="42">
        <f t="shared" si="2"/>
        <v>-315.7</v>
      </c>
      <c r="J15" s="42">
        <f t="shared" si="3"/>
        <v>36.86000000000001</v>
      </c>
      <c r="K15" s="43">
        <f>F15-(-1019.98)</f>
        <v>1204.28</v>
      </c>
      <c r="L15" s="43">
        <f>F15/(-1019.98)*100</f>
        <v>-18.068981744740093</v>
      </c>
      <c r="M15" s="32">
        <f>E15-лютий!E15</f>
        <v>110</v>
      </c>
      <c r="N15" s="178">
        <f>F15-лютий!F15</f>
        <v>99.165</v>
      </c>
      <c r="O15" s="40">
        <f t="shared" si="4"/>
        <v>-10.834999999999994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11873.7</v>
      </c>
      <c r="G19" s="36">
        <f t="shared" si="0"/>
        <v>-8186.700000000001</v>
      </c>
      <c r="H19" s="32">
        <f t="shared" si="1"/>
        <v>59.18974696416821</v>
      </c>
      <c r="I19" s="42">
        <f t="shared" si="2"/>
        <v>-98026.3</v>
      </c>
      <c r="J19" s="42">
        <f t="shared" si="3"/>
        <v>10.804094631483167</v>
      </c>
      <c r="K19" s="185">
        <f>F19-10070.48</f>
        <v>1803.2200000000012</v>
      </c>
      <c r="L19" s="185">
        <f>F19/10070.48*100</f>
        <v>117.90599852241404</v>
      </c>
      <c r="M19" s="32">
        <f>E19-лютий!E19</f>
        <v>8000.000000000002</v>
      </c>
      <c r="N19" s="178">
        <f>F19-лютий!F19</f>
        <v>1012.7000000000007</v>
      </c>
      <c r="O19" s="40">
        <f t="shared" si="4"/>
        <v>-6987.300000000001</v>
      </c>
      <c r="P19" s="42">
        <f t="shared" si="5"/>
        <v>12.658750000000008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63603.11000000001</v>
      </c>
      <c r="G20" s="36">
        <f t="shared" si="0"/>
        <v>-2047.4000000000015</v>
      </c>
      <c r="H20" s="32">
        <f t="shared" si="1"/>
        <v>96.88136466875885</v>
      </c>
      <c r="I20" s="42">
        <f t="shared" si="2"/>
        <v>-207336.88999999998</v>
      </c>
      <c r="J20" s="42">
        <f t="shared" si="3"/>
        <v>23.474979700302654</v>
      </c>
      <c r="K20" s="132">
        <f>F20-49978.98</f>
        <v>13624.130000000005</v>
      </c>
      <c r="L20" s="110">
        <f>F20/49978.98*100</f>
        <v>127.25971998628225</v>
      </c>
      <c r="M20" s="32">
        <f>M21+M25+M26+M27</f>
        <v>15598.405</v>
      </c>
      <c r="N20" s="178">
        <f>F20-лютий!F20</f>
        <v>4556.6700000000055</v>
      </c>
      <c r="O20" s="40">
        <f t="shared" si="4"/>
        <v>-11041.734999999995</v>
      </c>
      <c r="P20" s="42">
        <f t="shared" si="5"/>
        <v>29.212409858572112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27790.300000000003</v>
      </c>
      <c r="G21" s="36">
        <f t="shared" si="0"/>
        <v>-7550.959999999999</v>
      </c>
      <c r="H21" s="32">
        <f t="shared" si="1"/>
        <v>78.63415169691177</v>
      </c>
      <c r="I21" s="42">
        <f t="shared" si="2"/>
        <v>-133609.7</v>
      </c>
      <c r="J21" s="42">
        <f t="shared" si="3"/>
        <v>17.21827757125155</v>
      </c>
      <c r="K21" s="132">
        <f>F21-24610.26</f>
        <v>3180.0400000000045</v>
      </c>
      <c r="L21" s="110">
        <f>F21/24610.26*100</f>
        <v>112.92160261614468</v>
      </c>
      <c r="M21" s="32">
        <f>M22+M23+M24</f>
        <v>11845</v>
      </c>
      <c r="N21" s="178">
        <f>F21-лютий!F21</f>
        <v>2306.2500000000036</v>
      </c>
      <c r="O21" s="40">
        <f t="shared" si="4"/>
        <v>-9538.749999999996</v>
      </c>
      <c r="P21" s="42">
        <f t="shared" si="5"/>
        <v>19.470240607851444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3632.4</v>
      </c>
      <c r="G22" s="109">
        <f>F22-E22</f>
        <v>100.80000000000018</v>
      </c>
      <c r="H22" s="111">
        <f t="shared" si="1"/>
        <v>102.85423037716616</v>
      </c>
      <c r="I22" s="110">
        <f t="shared" si="2"/>
        <v>-14867.6</v>
      </c>
      <c r="J22" s="110">
        <f t="shared" si="3"/>
        <v>19.634594594594596</v>
      </c>
      <c r="K22" s="174">
        <f>F22-526.28</f>
        <v>3106.12</v>
      </c>
      <c r="L22" s="174">
        <f>F22/526.28*100</f>
        <v>690.2029337994984</v>
      </c>
      <c r="M22" s="111">
        <f>E22-лютий!E22</f>
        <v>240</v>
      </c>
      <c r="N22" s="179">
        <f>F22-лютий!F22</f>
        <v>79.63000000000011</v>
      </c>
      <c r="O22" s="112">
        <f t="shared" si="4"/>
        <v>-160.3699999999999</v>
      </c>
      <c r="P22" s="110">
        <f t="shared" si="5"/>
        <v>33.17916666666671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199.5</v>
      </c>
      <c r="G23" s="109">
        <f>F23-E23</f>
        <v>-2.3400000000000034</v>
      </c>
      <c r="H23" s="111">
        <f t="shared" si="1"/>
        <v>98.84066587395957</v>
      </c>
      <c r="I23" s="110">
        <f t="shared" si="2"/>
        <v>-2600.5</v>
      </c>
      <c r="J23" s="110">
        <f t="shared" si="3"/>
        <v>7.124999999999999</v>
      </c>
      <c r="K23" s="110">
        <f>F23-37.7</f>
        <v>161.8</v>
      </c>
      <c r="L23" s="110">
        <f>F23/37.7*100</f>
        <v>529.1777188328912</v>
      </c>
      <c r="M23" s="111">
        <f>E23-лютий!E23</f>
        <v>0</v>
      </c>
      <c r="N23" s="179">
        <f>F23-лютий!F23</f>
        <v>25.289999999999992</v>
      </c>
      <c r="O23" s="112">
        <f t="shared" si="4"/>
        <v>25.289999999999992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23958.4</v>
      </c>
      <c r="G24" s="109">
        <f>F24-E24</f>
        <v>-7649.419999999998</v>
      </c>
      <c r="H24" s="111">
        <f t="shared" si="1"/>
        <v>75.79896367417936</v>
      </c>
      <c r="I24" s="110">
        <f t="shared" si="2"/>
        <v>-116141.6</v>
      </c>
      <c r="J24" s="110">
        <f t="shared" si="3"/>
        <v>17.10092790863669</v>
      </c>
      <c r="K24" s="174">
        <f>F24-24046.28</f>
        <v>-87.87999999999738</v>
      </c>
      <c r="L24" s="174">
        <f>F24/24046.28*100</f>
        <v>99.6345380657632</v>
      </c>
      <c r="M24" s="111">
        <f>E24-лютий!E24</f>
        <v>11605</v>
      </c>
      <c r="N24" s="179">
        <f>F24-лютий!F24</f>
        <v>2201.3300000000017</v>
      </c>
      <c r="O24" s="112">
        <f t="shared" si="4"/>
        <v>-9403.669999999998</v>
      </c>
      <c r="P24" s="110">
        <f t="shared" si="5"/>
        <v>18.96880654890135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-53.4</v>
      </c>
      <c r="G26" s="36">
        <f aca="true" t="shared" si="6" ref="G26:G32">F26-E26</f>
        <v>-53.4</v>
      </c>
      <c r="H26" s="32"/>
      <c r="I26" s="42">
        <f t="shared" si="2"/>
        <v>-53.4</v>
      </c>
      <c r="J26" s="42"/>
      <c r="K26" s="132">
        <f>F26-12.89</f>
        <v>-66.28999999999999</v>
      </c>
      <c r="L26" s="132">
        <f>F26/12.89*100</f>
        <v>-414.27463149728464</v>
      </c>
      <c r="M26" s="32">
        <f>E26-лютий!E26</f>
        <v>0</v>
      </c>
      <c r="N26" s="178">
        <f>F26-лютий!F26</f>
        <v>-0.46999999999999886</v>
      </c>
      <c r="O26" s="40">
        <f t="shared" si="4"/>
        <v>-0.46999999999999886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35845.4</v>
      </c>
      <c r="G27" s="36">
        <f t="shared" si="6"/>
        <v>5550.16</v>
      </c>
      <c r="H27" s="32">
        <f t="shared" si="1"/>
        <v>118.32023776672507</v>
      </c>
      <c r="I27" s="42">
        <f t="shared" si="2"/>
        <v>-73617.6</v>
      </c>
      <c r="J27" s="42">
        <f t="shared" si="3"/>
        <v>32.7465901720216</v>
      </c>
      <c r="K27" s="106">
        <f>F27-25338.21</f>
        <v>10507.190000000002</v>
      </c>
      <c r="L27" s="106">
        <f>F27/25338.21*100</f>
        <v>141.46776745476498</v>
      </c>
      <c r="M27" s="32">
        <f>E27-лютий!E27</f>
        <v>3750</v>
      </c>
      <c r="N27" s="178">
        <f>F27-лютий!F27</f>
        <v>2250.8899999999994</v>
      </c>
      <c r="O27" s="40">
        <f t="shared" si="4"/>
        <v>-1499.1100000000006</v>
      </c>
      <c r="P27" s="42">
        <f>N27/M27*100</f>
        <v>60.02373333333332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9505.37</v>
      </c>
      <c r="G33" s="15">
        <f>G34+G35+G36+G37+G38+G39+G41+G42+G43+G44+G45+G50+G51+G55</f>
        <v>1100.3590000000002</v>
      </c>
      <c r="H33" s="38">
        <f>F33/E33*100</f>
        <v>113.09143297627338</v>
      </c>
      <c r="I33" s="28">
        <f>F33-D33</f>
        <v>-33314.63</v>
      </c>
      <c r="J33" s="28">
        <f>F33/D33*100</f>
        <v>22.198435310602523</v>
      </c>
      <c r="K33" s="15">
        <f>F33-7649.28</f>
        <v>1856.090000000001</v>
      </c>
      <c r="L33" s="15">
        <f>F33/7649.28*100</f>
        <v>124.26489813420349</v>
      </c>
      <c r="M33" s="15">
        <f>M34+M35+M36+M37+M38+M39+M41+M42+M43+M44+M45+M50+M51+M55</f>
        <v>3470.005</v>
      </c>
      <c r="N33" s="15">
        <f>N34+N35+N36+N37+N38+N39+N41+N42+N43+N44+N45+N50+N51+N55</f>
        <v>4588.929999999999</v>
      </c>
      <c r="O33" s="15">
        <f>O34+O35+O36+O37+O38+O39+O41+O42+O43+O44+O45+O50+O51+O55</f>
        <v>1118.9250000000004</v>
      </c>
      <c r="P33" s="15">
        <f>N33/M33*100</f>
        <v>132.24563076998444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26.8</v>
      </c>
      <c r="G36" s="36">
        <f t="shared" si="9"/>
        <v>-24.639999999999997</v>
      </c>
      <c r="H36" s="32">
        <f t="shared" si="7"/>
        <v>52.099533437014</v>
      </c>
      <c r="I36" s="42">
        <f t="shared" si="10"/>
        <v>-373.2</v>
      </c>
      <c r="J36" s="42">
        <f aca="true" t="shared" si="12" ref="J36:J56">F36/D36*100</f>
        <v>6.7</v>
      </c>
      <c r="K36" s="42">
        <f>F36-4.04</f>
        <v>22.76</v>
      </c>
      <c r="L36" s="42">
        <f>F36/4.04*100</f>
        <v>663.3663366336633</v>
      </c>
      <c r="M36" s="32">
        <f>E36-лютий!E36</f>
        <v>19.999999999999996</v>
      </c>
      <c r="N36" s="178">
        <f>F36-лютий!F36</f>
        <v>2.4200000000000017</v>
      </c>
      <c r="O36" s="40">
        <f t="shared" si="11"/>
        <v>-17.579999999999995</v>
      </c>
      <c r="P36" s="42">
        <f t="shared" si="8"/>
        <v>12.10000000000001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9.5</v>
      </c>
      <c r="G38" s="36">
        <f t="shared" si="9"/>
        <v>-20.5</v>
      </c>
      <c r="H38" s="32">
        <f t="shared" si="7"/>
        <v>31.666666666666664</v>
      </c>
      <c r="I38" s="42">
        <f t="shared" si="10"/>
        <v>-140.5</v>
      </c>
      <c r="J38" s="42">
        <f t="shared" si="12"/>
        <v>6.333333333333334</v>
      </c>
      <c r="K38" s="42">
        <f>F38-30.76</f>
        <v>-21.26</v>
      </c>
      <c r="L38" s="42">
        <f>F38/30.76*100</f>
        <v>30.88426527958387</v>
      </c>
      <c r="M38" s="32">
        <f>E38-лютий!E38</f>
        <v>10</v>
      </c>
      <c r="N38" s="178">
        <f>F38-лютий!F38</f>
        <v>5.85</v>
      </c>
      <c r="O38" s="40">
        <f t="shared" si="11"/>
        <v>-4.15</v>
      </c>
      <c r="P38" s="42">
        <f t="shared" si="8"/>
        <v>58.5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1706.8</v>
      </c>
      <c r="G41" s="36">
        <f t="shared" si="9"/>
        <v>-432.22</v>
      </c>
      <c r="H41" s="32">
        <f t="shared" si="7"/>
        <v>79.79355031743508</v>
      </c>
      <c r="I41" s="42">
        <f t="shared" si="10"/>
        <v>-8193.2</v>
      </c>
      <c r="J41" s="42">
        <f t="shared" si="12"/>
        <v>17.24040404040404</v>
      </c>
      <c r="K41" s="42">
        <f>F41-2528.58</f>
        <v>-821.78</v>
      </c>
      <c r="L41" s="42">
        <f>F41/2528.58*100</f>
        <v>67.50033615705257</v>
      </c>
      <c r="M41" s="32">
        <f>E41-лютий!E41</f>
        <v>800.0049999999999</v>
      </c>
      <c r="N41" s="178">
        <f>F41-лютий!F41</f>
        <v>355.6299999999999</v>
      </c>
      <c r="O41" s="40">
        <f t="shared" si="11"/>
        <v>-444.375</v>
      </c>
      <c r="P41" s="42">
        <f t="shared" si="8"/>
        <v>44.453472165798956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</v>
      </c>
      <c r="G44" s="36">
        <f t="shared" si="9"/>
        <v>-14.730000000000018</v>
      </c>
      <c r="H44" s="32">
        <f t="shared" si="7"/>
        <v>99.26942858701636</v>
      </c>
      <c r="I44" s="42">
        <f t="shared" si="10"/>
        <v>-6498.5</v>
      </c>
      <c r="J44" s="42">
        <f t="shared" si="12"/>
        <v>23.54705882352941</v>
      </c>
      <c r="K44" s="42">
        <f>F44-1946.14</f>
        <v>55.3599999999999</v>
      </c>
      <c r="L44" s="42">
        <f>F44/1946.14*100</f>
        <v>102.84460521853515</v>
      </c>
      <c r="M44" s="32">
        <f>E44-лютий!E44</f>
        <v>650</v>
      </c>
      <c r="N44" s="178">
        <f>F44-лютий!F44</f>
        <v>698.1600000000001</v>
      </c>
      <c r="O44" s="40">
        <f t="shared" si="11"/>
        <v>48.16000000000008</v>
      </c>
      <c r="P44" s="42">
        <f t="shared" si="8"/>
        <v>107.40923076923079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1176.2</v>
      </c>
      <c r="G45" s="36">
        <f t="shared" si="9"/>
        <v>-196.99</v>
      </c>
      <c r="H45" s="32">
        <f t="shared" si="7"/>
        <v>85.65457074403396</v>
      </c>
      <c r="I45" s="42">
        <f t="shared" si="10"/>
        <v>-6123.8</v>
      </c>
      <c r="J45" s="42">
        <f t="shared" si="12"/>
        <v>16.112328767123287</v>
      </c>
      <c r="K45" s="132">
        <f>F45-2181.98</f>
        <v>-1005.78</v>
      </c>
      <c r="L45" s="132">
        <f>F45/2181.98*100</f>
        <v>53.90516869998808</v>
      </c>
      <c r="M45" s="32">
        <f>E45-лютий!E45</f>
        <v>477</v>
      </c>
      <c r="N45" s="178">
        <f>F45-лютий!F45</f>
        <v>211.04000000000008</v>
      </c>
      <c r="O45" s="40">
        <f t="shared" si="11"/>
        <v>-265.9599999999999</v>
      </c>
      <c r="P45" s="132">
        <f t="shared" si="8"/>
        <v>44.243186582809244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F46-216.18</f>
        <v>-126.75</v>
      </c>
      <c r="L46" s="110">
        <f>F46/216.18*100</f>
        <v>41.36830419095199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F47-43.71</f>
        <v>-43.63</v>
      </c>
      <c r="L47" s="110">
        <f>F47/43.71*100</f>
        <v>0.18302447952413636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F49-1921.57</f>
        <v>-1010.41</v>
      </c>
      <c r="L49" s="110">
        <f>F49/1921.57*100</f>
        <v>47.41747633445568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915.7</v>
      </c>
      <c r="G51" s="36">
        <f t="shared" si="9"/>
        <v>-92.27999999999997</v>
      </c>
      <c r="H51" s="32">
        <f t="shared" si="7"/>
        <v>90.84505644953273</v>
      </c>
      <c r="I51" s="42">
        <f t="shared" si="10"/>
        <v>-3884.3</v>
      </c>
      <c r="J51" s="42">
        <f t="shared" si="12"/>
        <v>19.077083333333334</v>
      </c>
      <c r="K51" s="42">
        <f>F51-960.47</f>
        <v>-44.76999999999998</v>
      </c>
      <c r="L51" s="42">
        <f>F51/960.47*100</f>
        <v>95.33874040834175</v>
      </c>
      <c r="M51" s="32">
        <f>E51-лютий!E51</f>
        <v>370</v>
      </c>
      <c r="N51" s="178">
        <f>F51-лютий!F51</f>
        <v>193.04000000000008</v>
      </c>
      <c r="O51" s="40">
        <f t="shared" si="11"/>
        <v>-176.95999999999992</v>
      </c>
      <c r="P51" s="42">
        <f t="shared" si="8"/>
        <v>52.172972972973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189</v>
      </c>
      <c r="G53" s="36"/>
      <c r="H53" s="32"/>
      <c r="I53" s="42"/>
      <c r="J53" s="42"/>
      <c r="K53" s="112">
        <f>F53-239.6</f>
        <v>-50.599999999999994</v>
      </c>
      <c r="L53" s="112">
        <f>F53/239.6*100</f>
        <v>78.88146911519199</v>
      </c>
      <c r="M53" s="111"/>
      <c r="N53" s="179">
        <f>F53-лютий!F53</f>
        <v>41.69999999999999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33.1</v>
      </c>
      <c r="G55" s="36">
        <f t="shared" si="9"/>
        <v>13.100000000000001</v>
      </c>
      <c r="H55" s="32">
        <f t="shared" si="7"/>
        <v>165.5</v>
      </c>
      <c r="I55" s="42">
        <f t="shared" si="10"/>
        <v>13.100000000000001</v>
      </c>
      <c r="J55" s="42">
        <f t="shared" si="12"/>
        <v>165.5</v>
      </c>
      <c r="K55" s="42">
        <f>F55-0</f>
        <v>33.1</v>
      </c>
      <c r="L55" s="42"/>
      <c r="M55" s="32">
        <f>E55-лютий!E55</f>
        <v>0</v>
      </c>
      <c r="N55" s="178">
        <f>F55-лютий!F55</f>
        <v>0.9100000000000037</v>
      </c>
      <c r="O55" s="40">
        <f t="shared" si="11"/>
        <v>0.9100000000000037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172167.91999999998</v>
      </c>
      <c r="G58" s="37">
        <f>F58-E58</f>
        <v>-18056.591000000015</v>
      </c>
      <c r="H58" s="38">
        <f>F58/E58*100</f>
        <v>90.50774744796163</v>
      </c>
      <c r="I58" s="28">
        <f>F58-D58</f>
        <v>-711732.6799999999</v>
      </c>
      <c r="J58" s="28">
        <f>F58/D58*100</f>
        <v>19.478199245480766</v>
      </c>
      <c r="K58" s="28">
        <f>F58-147138.18</f>
        <v>25029.73999999999</v>
      </c>
      <c r="L58" s="28">
        <f>F58/147138.18*100</f>
        <v>117.0110436325908</v>
      </c>
      <c r="M58" s="15">
        <f>M8+M33+M56+M57</f>
        <v>62573.715000000004</v>
      </c>
      <c r="N58" s="15">
        <f>N8+N33+N56+N57</f>
        <v>26824.665000000005</v>
      </c>
      <c r="O58" s="41">
        <f>N58-M58</f>
        <v>-35749.05</v>
      </c>
      <c r="P58" s="28">
        <f>N58/M58*100</f>
        <v>42.868902701397865</v>
      </c>
      <c r="Q58" s="28">
        <f>N58-34768</f>
        <v>-7943.3349999999955</v>
      </c>
      <c r="R58" s="128">
        <f>N58/34768</f>
        <v>0.7715331626783251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F67-33.47</f>
        <v>-33.36</v>
      </c>
      <c r="L67" s="43">
        <f>F67/33.47*100</f>
        <v>0.3286525246489394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7670.2</v>
      </c>
      <c r="G69" s="36">
        <f t="shared" si="13"/>
        <v>6783.349999999999</v>
      </c>
      <c r="H69" s="32">
        <f>F69/E69*100</f>
        <v>864.8813215312623</v>
      </c>
      <c r="I69" s="43">
        <f t="shared" si="14"/>
        <v>1670.1999999999998</v>
      </c>
      <c r="J69" s="43">
        <f>F69/D69*100</f>
        <v>127.83666666666666</v>
      </c>
      <c r="K69" s="43">
        <f>F69-11.06</f>
        <v>7659.139999999999</v>
      </c>
      <c r="L69" s="43">
        <f>F69/11.06*100</f>
        <v>69350.81374321881</v>
      </c>
      <c r="M69" s="32">
        <f>E69-лютий!E69</f>
        <v>302</v>
      </c>
      <c r="N69" s="178">
        <f>F69-лютий!F69</f>
        <v>7023.36</v>
      </c>
      <c r="O69" s="40">
        <f t="shared" si="15"/>
        <v>6721.36</v>
      </c>
      <c r="P69" s="43">
        <f>N69/M69*100</f>
        <v>2325.615894039735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8049.98</v>
      </c>
      <c r="G71" s="45">
        <f t="shared" si="13"/>
        <v>5696.719999999999</v>
      </c>
      <c r="H71" s="52">
        <f>F71/E71*100</f>
        <v>342.07779845830885</v>
      </c>
      <c r="I71" s="44">
        <f t="shared" si="14"/>
        <v>-9621.02</v>
      </c>
      <c r="J71" s="44">
        <f>F71/D71*100</f>
        <v>45.55475072152113</v>
      </c>
      <c r="K71" s="44">
        <f>F71-1454.31</f>
        <v>6595.67</v>
      </c>
      <c r="L71" s="44">
        <f>F71/1454.31*100</f>
        <v>553.5257269770544</v>
      </c>
      <c r="M71" s="45">
        <f>M67+M68+M69+M70</f>
        <v>634.01</v>
      </c>
      <c r="N71" s="183">
        <f>N67+N68+N69+N70</f>
        <v>7024.37</v>
      </c>
      <c r="O71" s="44">
        <f t="shared" si="15"/>
        <v>6390.36</v>
      </c>
      <c r="P71" s="44">
        <f>N71/M71*100</f>
        <v>1107.9273197583634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0.2</v>
      </c>
      <c r="G72" s="36">
        <f t="shared" si="13"/>
        <v>0.2</v>
      </c>
      <c r="H72" s="32"/>
      <c r="I72" s="43">
        <f t="shared" si="14"/>
        <v>-0.8</v>
      </c>
      <c r="J72" s="43"/>
      <c r="K72" s="43">
        <f>F72-0</f>
        <v>0.2</v>
      </c>
      <c r="L72" s="43"/>
      <c r="M72" s="32">
        <f>E72-лютий!E72</f>
        <v>0</v>
      </c>
      <c r="N72" s="178">
        <f>F72-лютий!F72</f>
        <v>0.19</v>
      </c>
      <c r="O72" s="40">
        <f t="shared" si="15"/>
        <v>0.19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2016.4</v>
      </c>
      <c r="G74" s="36">
        <f t="shared" si="13"/>
        <v>10.700000000000045</v>
      </c>
      <c r="H74" s="32">
        <f>F74/E74*100</f>
        <v>100.53347958318793</v>
      </c>
      <c r="I74" s="43">
        <f t="shared" si="14"/>
        <v>-7483.6</v>
      </c>
      <c r="J74" s="40">
        <f>F74/D74*100</f>
        <v>21.225263157894737</v>
      </c>
      <c r="K74" s="40">
        <f>F74-0</f>
        <v>2016.4</v>
      </c>
      <c r="L74" s="43"/>
      <c r="M74" s="32">
        <f>E74-лютий!E74</f>
        <v>0.7999999999999545</v>
      </c>
      <c r="N74" s="178">
        <f>F74-лютий!F74</f>
        <v>2.740000000000009</v>
      </c>
      <c r="O74" s="40">
        <f>N74-M74</f>
        <v>1.9400000000000546</v>
      </c>
      <c r="P74" s="46">
        <f>N74/M74*100</f>
        <v>342.5000000000206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2016.88</v>
      </c>
      <c r="G76" s="30">
        <f>G72+G75+G73+G74</f>
        <v>11.180000000000046</v>
      </c>
      <c r="H76" s="52">
        <f>F76/E76*100</f>
        <v>100.55741137757393</v>
      </c>
      <c r="I76" s="44">
        <f t="shared" si="14"/>
        <v>-7484.12</v>
      </c>
      <c r="J76" s="44">
        <f>F76/D76*100</f>
        <v>21.22808125460478</v>
      </c>
      <c r="K76" s="44">
        <f>F76-0.58</f>
        <v>2016.3000000000002</v>
      </c>
      <c r="L76" s="44">
        <f>F76/0.58*100</f>
        <v>347737.9310344828</v>
      </c>
      <c r="M76" s="45">
        <f>M72+M75+M73+M74</f>
        <v>0.7999999999999545</v>
      </c>
      <c r="N76" s="183">
        <f>N72+N75+N73+N74</f>
        <v>3.050000000000009</v>
      </c>
      <c r="O76" s="45">
        <f>O72+O75+O73+O74</f>
        <v>2.2500000000000546</v>
      </c>
      <c r="P76" s="44">
        <f>N76/M76*100</f>
        <v>381.25000000002285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10067.279999999999</v>
      </c>
      <c r="G79" s="37">
        <f>F79-E79</f>
        <v>5695.609999999999</v>
      </c>
      <c r="H79" s="38">
        <f>F79/E79*100</f>
        <v>230.28453657298007</v>
      </c>
      <c r="I79" s="28">
        <f>F79-D79</f>
        <v>-17147.72</v>
      </c>
      <c r="J79" s="28">
        <f>F79/D79*100</f>
        <v>36.9916590115745</v>
      </c>
      <c r="K79" s="28">
        <f>F79-1453.19</f>
        <v>8614.089999999998</v>
      </c>
      <c r="L79" s="28">
        <f>F79/1453.19*100</f>
        <v>692.7710760464907</v>
      </c>
      <c r="M79" s="24">
        <f>M65+M77+M71+M76</f>
        <v>646.8</v>
      </c>
      <c r="N79" s="165">
        <f>N65+N77+N71+N76+N78</f>
        <v>7027.42</v>
      </c>
      <c r="O79" s="28">
        <f t="shared" si="15"/>
        <v>6380.62</v>
      </c>
      <c r="P79" s="28">
        <f>N79/M79*100</f>
        <v>1086.4904143475574</v>
      </c>
      <c r="Q79" s="28">
        <f>N79-8104.96</f>
        <v>-1077.54</v>
      </c>
      <c r="R79" s="101">
        <f>N79/8104.96</f>
        <v>0.867051780638029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182235.19999999998</v>
      </c>
      <c r="G80" s="37">
        <f>F80-E80</f>
        <v>-12360.981000000029</v>
      </c>
      <c r="H80" s="38">
        <f>F80/E80*100</f>
        <v>93.64788099310128</v>
      </c>
      <c r="I80" s="28">
        <f>F80-D80</f>
        <v>-728880.4</v>
      </c>
      <c r="J80" s="28">
        <f>F80/D80*100</f>
        <v>20.001325847126314</v>
      </c>
      <c r="K80" s="28">
        <f>K58+K79</f>
        <v>33643.82999999999</v>
      </c>
      <c r="L80" s="28">
        <f>F80/139550.7*100</f>
        <v>130.58709128653598</v>
      </c>
      <c r="M80" s="15">
        <f>M58+M79</f>
        <v>63220.51500000001</v>
      </c>
      <c r="N80" s="15">
        <f>N58+N79</f>
        <v>33852.08500000001</v>
      </c>
      <c r="O80" s="28">
        <f t="shared" si="15"/>
        <v>-29368.43</v>
      </c>
      <c r="P80" s="28">
        <f>N80/M80*100</f>
        <v>53.546044349686184</v>
      </c>
      <c r="Q80" s="28">
        <f>N80-42872.96</f>
        <v>-9020.874999999993</v>
      </c>
      <c r="R80" s="101">
        <f>N80/42872.96</f>
        <v>0.7895905717729779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13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2749.9269230769232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42443</v>
      </c>
      <c r="D84" s="31">
        <v>2323.3</v>
      </c>
      <c r="G84" s="4" t="s">
        <v>59</v>
      </c>
      <c r="N84" s="213"/>
      <c r="O84" s="213"/>
    </row>
    <row r="85" spans="3:15" ht="15">
      <c r="C85" s="87">
        <v>42441</v>
      </c>
      <c r="D85" s="31">
        <v>1094.2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42440</v>
      </c>
      <c r="D86" s="31">
        <v>1328.2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f>'[1]залишки  (2)'!$G$6/1000</f>
        <v>0.02498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1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3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4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5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3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6"/>
      <c r="G5" s="206"/>
      <c r="H5" s="199"/>
      <c r="I5" s="206"/>
      <c r="J5" s="199"/>
      <c r="K5" s="210" t="s">
        <v>108</v>
      </c>
      <c r="L5" s="211"/>
      <c r="M5" s="199"/>
      <c r="N5" s="224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2016-03-15T08:36:25Z</cp:lastPrinted>
  <dcterms:created xsi:type="dcterms:W3CDTF">2003-07-28T11:27:56Z</dcterms:created>
  <dcterms:modified xsi:type="dcterms:W3CDTF">2016-03-15T08:36:51Z</dcterms:modified>
  <cp:category/>
  <cp:version/>
  <cp:contentType/>
  <cp:contentStatus/>
</cp:coreProperties>
</file>